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EstaPasta_de_trabalho" defaultThemeVersion="124226"/>
  <bookViews>
    <workbookView xWindow="0" yWindow="0" windowWidth="20490" windowHeight="7155" tabRatio="568"/>
  </bookViews>
  <sheets>
    <sheet name="RECAP 2022" sheetId="36" r:id="rId1"/>
    <sheet name="Plan2" sheetId="34" r:id="rId2"/>
  </sheets>
  <definedNames>
    <definedName name="_xlnm.Print_Area" localSheetId="0">'RECAP 2022'!$A$1:$J$41</definedName>
  </definedNames>
  <calcPr calcId="145621"/>
</workbook>
</file>

<file path=xl/calcChain.xml><?xml version="1.0" encoding="utf-8"?>
<calcChain xmlns="http://schemas.openxmlformats.org/spreadsheetml/2006/main">
  <c r="H16" i="36" l="1"/>
  <c r="H15" i="36"/>
  <c r="H13" i="36"/>
  <c r="H17" i="36" l="1"/>
  <c r="F25" i="36" l="1"/>
  <c r="I30" i="36"/>
  <c r="H30" i="36"/>
  <c r="J30" i="36" s="1"/>
  <c r="H9" i="36"/>
  <c r="J9" i="36" s="1"/>
  <c r="I9" i="36"/>
  <c r="I29" i="36"/>
  <c r="H29" i="36"/>
  <c r="J29" i="36" s="1"/>
  <c r="I28" i="36"/>
  <c r="H28" i="36"/>
  <c r="J28" i="36" s="1"/>
  <c r="I27" i="36"/>
  <c r="H27" i="36"/>
  <c r="J27" i="36" s="1"/>
  <c r="J26" i="36" l="1"/>
  <c r="I26" i="36"/>
  <c r="F24" i="36"/>
  <c r="F17" i="36" s="1"/>
  <c r="I17" i="36" l="1"/>
  <c r="J17" i="36"/>
  <c r="H11" i="36"/>
  <c r="J11" i="36" s="1"/>
  <c r="I11" i="36"/>
  <c r="F23" i="36" l="1"/>
  <c r="F22" i="36"/>
  <c r="F21" i="36"/>
  <c r="F20" i="36"/>
  <c r="F19" i="36"/>
  <c r="F12" i="36"/>
  <c r="F8" i="36" s="1"/>
  <c r="F7" i="36"/>
  <c r="F14" i="36" l="1"/>
  <c r="F16" i="36" s="1"/>
  <c r="F13" i="36"/>
  <c r="F15" i="36" s="1"/>
  <c r="I7" i="36"/>
  <c r="H7" i="36"/>
  <c r="J7" i="36" s="1"/>
  <c r="H25" i="36"/>
  <c r="H24" i="36"/>
  <c r="H23" i="36"/>
  <c r="H22" i="36"/>
  <c r="H21" i="36"/>
  <c r="H20" i="36"/>
  <c r="H19" i="36"/>
  <c r="H14" i="36"/>
  <c r="H12" i="36"/>
  <c r="H10" i="36"/>
  <c r="H8" i="36"/>
  <c r="I15" i="36" l="1"/>
  <c r="J15" i="36"/>
  <c r="I16" i="36"/>
  <c r="J16" i="36"/>
  <c r="I13" i="36"/>
  <c r="J13" i="36"/>
  <c r="I22" i="36"/>
  <c r="J22" i="36"/>
  <c r="J25" i="36"/>
  <c r="I25" i="36"/>
  <c r="I21" i="36"/>
  <c r="J21" i="36"/>
  <c r="I19" i="36"/>
  <c r="J19" i="36"/>
  <c r="I23" i="36"/>
  <c r="J23" i="36"/>
  <c r="I24" i="36"/>
  <c r="J24" i="36"/>
  <c r="J10" i="36"/>
  <c r="I10" i="36"/>
  <c r="I20" i="36"/>
  <c r="J20" i="36"/>
  <c r="I12" i="36" l="1"/>
  <c r="J12" i="36"/>
  <c r="J8" i="36" l="1"/>
  <c r="I8" i="36"/>
  <c r="I18" i="36"/>
  <c r="I14" i="36" l="1"/>
  <c r="J14" i="36"/>
  <c r="E9" i="34"/>
  <c r="E8" i="34"/>
  <c r="E7" i="34"/>
  <c r="E6" i="34"/>
  <c r="E5" i="34"/>
  <c r="J6" i="36" l="1"/>
  <c r="J18" i="36"/>
  <c r="I6" i="36" l="1"/>
  <c r="I31" i="36" s="1"/>
  <c r="J31" i="36"/>
</calcChain>
</file>

<file path=xl/sharedStrings.xml><?xml version="1.0" encoding="utf-8"?>
<sst xmlns="http://schemas.openxmlformats.org/spreadsheetml/2006/main" count="131" uniqueCount="94">
  <si>
    <t>ITEM</t>
  </si>
  <si>
    <t>SERVIÇOS</t>
  </si>
  <si>
    <t>UNID.</t>
  </si>
  <si>
    <t>QUANT. A EXECUTAR</t>
  </si>
  <si>
    <t>TOTAL GERAL</t>
  </si>
  <si>
    <t>CÓDIGO</t>
  </si>
  <si>
    <t>FONTE</t>
  </si>
  <si>
    <t>PREÇO UNIT. SEM BDI</t>
  </si>
  <si>
    <t>PREÇO A EXECUTAR SEM BDI</t>
  </si>
  <si>
    <t>M</t>
  </si>
  <si>
    <t>M2</t>
  </si>
  <si>
    <t>M3</t>
  </si>
  <si>
    <t>Planilha Orçamentária</t>
  </si>
  <si>
    <t xml:space="preserve">               </t>
  </si>
  <si>
    <t>RODRIGO TEIXEIRA DE OLIVEIRA</t>
  </si>
  <si>
    <t xml:space="preserve">GERENTE DE INFRAESTRUTURA </t>
  </si>
  <si>
    <t>CREA 5062990258</t>
  </si>
  <si>
    <t>PREÇO UNIT. COM BDI 24,23%</t>
  </si>
  <si>
    <t>PREÇO A EXECUTAR COM BDI 24,23%</t>
  </si>
  <si>
    <t>REFORÇO DO SUB-LEITO (EXECUÇÃO, INCLUINDO ESCAVAÇÃO, CARGA, DESCARGA, HOMOGENIZAÇÃO, UMIDECIMENTO, ESPALHAMENTO E COMPACTAÇÃO DO MATERIAL)</t>
  </si>
  <si>
    <t>OBR-VIA-135</t>
  </si>
  <si>
    <t>CORTE MECAN. C/ SERRA CIRCULAR EM CONCRETO/ASFALTO</t>
  </si>
  <si>
    <t>02.12.01</t>
  </si>
  <si>
    <t>DEMOLIÇÃO DE REVESTIMENTO ASFÁLTICO COM EQUIPAMENTO PNEUMÁTICO, INCLUSIVE AFASTAMENTO</t>
  </si>
  <si>
    <t>DEM-PIS-070</t>
  </si>
  <si>
    <t>M3XKM</t>
  </si>
  <si>
    <t>FRESAGEM</t>
  </si>
  <si>
    <t>EXECUÇÃO E COMPACTAÇÃO DE BASE E OU SUB BASE COM PEDRA RACHÃO - EXCLUSIVE ESCAVAÇÃO, CARGA E TRANSPORTE</t>
  </si>
  <si>
    <t>EXECUÇÃO E COMPACTAÇÃO DE BASE E OU SUB BASE COM BRITA GRADUADA SIMPLES - EXCLUSIVE CARGA E TRANSPORTE</t>
  </si>
  <si>
    <t>IMPRIMAÇÃO (EXECUÇÃO, INCLUINDO FORNECIMENTO E TRANSPORTE DO MATERIAL BETUMINOSO)</t>
  </si>
  <si>
    <t>OBR-VIA-160</t>
  </si>
  <si>
    <t>PAVIMENTAÇÃO</t>
  </si>
  <si>
    <t>M²</t>
  </si>
  <si>
    <t>DIA</t>
  </si>
  <si>
    <t>TOTAL</t>
  </si>
  <si>
    <t>PAV</t>
  </si>
  <si>
    <t>BASE</t>
  </si>
  <si>
    <t>1.1</t>
  </si>
  <si>
    <t>1.2</t>
  </si>
  <si>
    <t>1.3</t>
  </si>
  <si>
    <t>1.4</t>
  </si>
  <si>
    <t>1.5</t>
  </si>
  <si>
    <t>1.6</t>
  </si>
  <si>
    <t>2.1</t>
  </si>
  <si>
    <t>2.2</t>
  </si>
  <si>
    <t>2.3</t>
  </si>
  <si>
    <t>2.4</t>
  </si>
  <si>
    <t>2.5</t>
  </si>
  <si>
    <t>2.6</t>
  </si>
  <si>
    <t>2.7</t>
  </si>
  <si>
    <t>FRESAGEM DE 5 A 10 CM</t>
  </si>
  <si>
    <t>20.20.02</t>
  </si>
  <si>
    <t>1.7</t>
  </si>
  <si>
    <t>EXECUÇÃO DE PAVIMENTO COM APLICAÇÃO DE CONCRETO ASFÁLTICO, CAMADA DE BINDER - EXCLUSIVE CARGA E TRANSPORTE. AF_11/2019</t>
  </si>
  <si>
    <t>EXECUÇÃO DE PAVIMENTO COM APLICAÇÃO DE CONCRETO ASFÁLTICO, CAMADA DE ROLAMENTO - EXCLUSIVE CARGA E TRANSPORTE. AF_11/2019</t>
  </si>
  <si>
    <t>DRENAGEM SUPERFICIAL E ALTEAMENTO DE POÇOS DE VISTA</t>
  </si>
  <si>
    <t>URB-MFC-005</t>
  </si>
  <si>
    <t>3.1</t>
  </si>
  <si>
    <t>GUIA DE MEIO-FIO, EM CONCRETO COM FCK 20MPA, PRÉMOLDADA, MFC-01 PADRÃO DEER-MG, DIMENSÕES (12X16,7X35)CM, EXCLUSIVE SARJETA, INCLUSIVE ESCAVAÇÃO, APILOAMENTO E TRANSPORTE COM RETIRADA DO MATERIAL ESCAVADO (EM CAÇAMBA)</t>
  </si>
  <si>
    <t>SARJETA DE CONCRETO URBANO (SCU), TIPO 1, COM FCK 15 MPA, LARGURA DE 50CM COM INCLINAÇÃO DE 3%, ESP. 7CM, PADRÃO DEER-MG, EXCLUSIVE MEIO-FIO, INCLUSIVE ESCAVAÇÃO, APILAOMENTO E TRANSPORTE COM RETIRADA DO MATERIAL
ESCAVADO (EM CAÇAMBA)</t>
  </si>
  <si>
    <t>ED-14762</t>
  </si>
  <si>
    <t>3.2</t>
  </si>
  <si>
    <t>URB-MFC-020</t>
  </si>
  <si>
    <t>REMOÇÃO E REASSENTAMENTO DE MEIO-FIO PRÉ-MOLDADO DE CONCRETO COM REAPROVEITAMENTO</t>
  </si>
  <si>
    <t>DEM-SAR-005</t>
  </si>
  <si>
    <t>ESCAVAÇÃO, DEMOLIÇÃO, FRESAGEM E TRANSPORTE</t>
  </si>
  <si>
    <t>DEMOLIÇÃO DE SARJETA OU SARJETÃO DE CONCRETO</t>
  </si>
  <si>
    <t>3.3</t>
  </si>
  <si>
    <t>1.8</t>
  </si>
  <si>
    <t>ALTEAMENTO DE TAMPÃO DE PV EM ATE 20 CM</t>
  </si>
  <si>
    <t>19.22.04</t>
  </si>
  <si>
    <t>3.4</t>
  </si>
  <si>
    <t>Base de Preços: SINAPI NOV/21, SETOP OUT/21 E SUDECAP OUT/21</t>
  </si>
  <si>
    <t>SUDECAP - OUT/21</t>
  </si>
  <si>
    <t>SETOP - OUT/21</t>
  </si>
  <si>
    <t>SINAPI - NOV/21</t>
  </si>
  <si>
    <t>EXECUÇÃO DE IMPRIMAÇÃO LIGANTE (PINTURA DE LIGAÇÃO) COM EMULSÃO ASFÁLTICA RR-2C. AF_09/2017</t>
  </si>
  <si>
    <t>1.9</t>
  </si>
  <si>
    <t>RO-14033</t>
  </si>
  <si>
    <t>TRANSPORTE DE CONCRETO BETUMINOSO USINADO A QUENTE. DISTÂNCIA MÉDIA DE TRANSPORTE DE 15,10 A 20,00 KM (VOLUME COMPACTADO)</t>
  </si>
  <si>
    <t>CARGA, MANOBRA E DESCARGA DE SOLOS E MATERIAIS GRANULARES EM CAMINHÃO BASCULANTE 10 M³ - CARGA COM PÁ CARREGADEIRA (CAÇAMBA DE 1,7 A 2,8 M³/ 128 HP) E DESCARGA LIVRE (UNIDADE: M3). AF_07/2020</t>
  </si>
  <si>
    <t>OBRA:  Serviços de recomposição e manutenção asfáltica de vias do Município de Pouso Alegre - MG (RECAP 2022)</t>
  </si>
  <si>
    <t>ESCAVAÇÃO E CARGA MECANIZADA EM MATERIAL DE 1ª CATEGORIA</t>
  </si>
  <si>
    <t>TER-ESC-015</t>
  </si>
  <si>
    <t>FRESAGEM DE PAVIMENTO ASFÁLTICO (PROFUNDIDADE ATÉ 5,0 CM) - EXCLUSIVE TRANSPORTE. AF_11/2019</t>
  </si>
  <si>
    <t>OBR-VIA-165</t>
  </si>
  <si>
    <t>Data: 29/12/2021</t>
  </si>
  <si>
    <t>CARGA, MANOBRA E DESCARGA DE ENTULHO EM CAMINHÃO BASCULANTE 10 M³ - CARGA COM ESCAVADEIRA HIDRÁULICA (CAÇAMBA DE 0,80 M³ / 111 HP) E DESCARGA LIVRE (UNIDADE: M3). AF_07/2020</t>
  </si>
  <si>
    <t>OBR-VIA-355</t>
  </si>
  <si>
    <t>TRANSPORTE DE AGREGADOS PARA CONSERVAÇÃO. DISTÂNCIA MÉDIA DE TRANSPORTE DE 15,10 A 20,00 KM</t>
  </si>
  <si>
    <t>OBR-VIA-420</t>
  </si>
  <si>
    <t>TRANSPORTE DE MATERIAL DE QUALQUER NATUREZA. DISTÂNCIA MÉDIA DE TRANSPORTE DE 15,10 A 20,00 KM</t>
  </si>
  <si>
    <t>1.10</t>
  </si>
  <si>
    <t>1.11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</si>
</sst>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R$&quot;* #,##0.00_-;\-&quot;R$&quot;* #,##0.00_-;_-&quot;R$&quot;* &quot;-&quot;??_-;_-@_-"/>
    <numFmt numFmtId="43" formatCode="_-* #,##0.00_-;\-* #,##0.00_-;_-* &quot;-&quot;??_-;_-@_-"/>
  </numFmts>
  <fonts count="11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91">
    <xf numFmtId="0" fontId="0" fillId="0" borderId="0" xfId="0"/>
    <xf numFmtId="0" fontId="0" fillId="0" borderId="0" xfId="0" applyAlignment="1">
      <alignment horizontal="center"/>
    </xf>
    <xf numFmtId="0" fontId="0" fillId="5" borderId="0" xfId="0" applyFill="1"/>
    <xf numFmtId="0" fontId="4" fillId="5" borderId="16" xfId="0" applyFont="1" applyFill="1" applyBorder="1" applyAlignment="1">
      <alignment horizontal="center" vertical="center"/>
    </xf>
    <xf numFmtId="0" fontId="0" fillId="5" borderId="17" xfId="0" applyFill="1" applyBorder="1"/>
    <xf numFmtId="0" fontId="4" fillId="5" borderId="21" xfId="0" applyFont="1" applyFill="1" applyBorder="1" applyAlignment="1">
      <alignment horizontal="center" vertical="center"/>
    </xf>
    <xf numFmtId="0" fontId="4" fillId="5" borderId="22" xfId="0" applyFont="1" applyFill="1" applyBorder="1" applyAlignment="1">
      <alignment horizontal="center" vertical="center"/>
    </xf>
    <xf numFmtId="4" fontId="2" fillId="5" borderId="19" xfId="0" applyNumberFormat="1" applyFont="1" applyFill="1" applyBorder="1" applyAlignment="1">
      <alignment horizontal="right"/>
    </xf>
    <xf numFmtId="0" fontId="0" fillId="5" borderId="23" xfId="0" applyFill="1" applyBorder="1"/>
    <xf numFmtId="0" fontId="4" fillId="5" borderId="23" xfId="0" applyFont="1" applyFill="1" applyBorder="1" applyAlignment="1">
      <alignment horizontal="right"/>
    </xf>
    <xf numFmtId="4" fontId="2" fillId="5" borderId="23" xfId="0" applyNumberFormat="1" applyFont="1" applyFill="1" applyBorder="1" applyAlignment="1">
      <alignment horizontal="right"/>
    </xf>
    <xf numFmtId="0" fontId="0" fillId="4" borderId="1" xfId="0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 wrapText="1"/>
    </xf>
    <xf numFmtId="0" fontId="5" fillId="3" borderId="12" xfId="0" applyFont="1" applyFill="1" applyBorder="1" applyAlignment="1">
      <alignment horizontal="center" vertical="center" wrapText="1"/>
    </xf>
    <xf numFmtId="4" fontId="0" fillId="4" borderId="1" xfId="0" applyNumberForma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0" fillId="4" borderId="1" xfId="0" applyFill="1" applyBorder="1" applyAlignment="1">
      <alignment vertical="center"/>
    </xf>
    <xf numFmtId="43" fontId="4" fillId="0" borderId="0" xfId="1" applyFont="1"/>
    <xf numFmtId="0" fontId="7" fillId="0" borderId="0" xfId="0" applyFont="1"/>
    <xf numFmtId="0" fontId="7" fillId="0" borderId="0" xfId="0" applyFont="1" applyAlignment="1">
      <alignment horizontal="center"/>
    </xf>
    <xf numFmtId="43" fontId="7" fillId="0" borderId="0" xfId="1" applyFont="1" applyAlignment="1">
      <alignment horizontal="center"/>
    </xf>
    <xf numFmtId="43" fontId="7" fillId="0" borderId="0" xfId="1" applyFont="1" applyAlignment="1">
      <alignment horizontal="center"/>
    </xf>
    <xf numFmtId="43" fontId="7" fillId="0" borderId="0" xfId="0" applyNumberFormat="1" applyFont="1"/>
    <xf numFmtId="0" fontId="2" fillId="4" borderId="13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0" fontId="2" fillId="4" borderId="1" xfId="0" applyFont="1" applyFill="1" applyBorder="1" applyAlignment="1">
      <alignment horizontal="left"/>
    </xf>
    <xf numFmtId="0" fontId="0" fillId="5" borderId="17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0" fontId="0" fillId="5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4" fontId="0" fillId="5" borderId="1" xfId="0" applyNumberFormat="1" applyFill="1" applyBorder="1" applyAlignment="1">
      <alignment horizontal="center"/>
    </xf>
    <xf numFmtId="2" fontId="0" fillId="5" borderId="1" xfId="2" applyNumberFormat="1" applyFont="1" applyFill="1" applyBorder="1" applyAlignment="1">
      <alignment horizontal="center"/>
    </xf>
    <xf numFmtId="0" fontId="8" fillId="5" borderId="1" xfId="0" applyFont="1" applyFill="1" applyBorder="1" applyAlignment="1">
      <alignment horizontal="left" wrapText="1"/>
    </xf>
    <xf numFmtId="0" fontId="8" fillId="5" borderId="13" xfId="0" applyFont="1" applyFill="1" applyBorder="1" applyAlignment="1">
      <alignment horizontal="center"/>
    </xf>
    <xf numFmtId="0" fontId="0" fillId="5" borderId="1" xfId="0" applyFont="1" applyFill="1" applyBorder="1" applyAlignment="1">
      <alignment horizontal="center" wrapText="1"/>
    </xf>
    <xf numFmtId="0" fontId="8" fillId="5" borderId="1" xfId="0" applyFont="1" applyFill="1" applyBorder="1" applyAlignment="1">
      <alignment horizontal="center" wrapText="1"/>
    </xf>
    <xf numFmtId="0" fontId="9" fillId="5" borderId="13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center" wrapText="1"/>
    </xf>
    <xf numFmtId="0" fontId="10" fillId="5" borderId="1" xfId="0" applyFont="1" applyFill="1" applyBorder="1" applyAlignment="1">
      <alignment horizontal="center" wrapText="1"/>
    </xf>
    <xf numFmtId="4" fontId="0" fillId="5" borderId="1" xfId="2" applyNumberFormat="1" applyFont="1" applyFill="1" applyBorder="1" applyAlignment="1">
      <alignment horizontal="center"/>
    </xf>
    <xf numFmtId="4" fontId="0" fillId="4" borderId="1" xfId="0" applyNumberFormat="1" applyFill="1" applyBorder="1" applyAlignment="1">
      <alignment horizontal="center"/>
    </xf>
    <xf numFmtId="4" fontId="10" fillId="5" borderId="1" xfId="2" applyNumberFormat="1" applyFont="1" applyFill="1" applyBorder="1" applyAlignment="1">
      <alignment horizontal="center"/>
    </xf>
    <xf numFmtId="4" fontId="0" fillId="5" borderId="14" xfId="0" applyNumberFormat="1" applyFill="1" applyBorder="1" applyAlignment="1">
      <alignment horizontal="right"/>
    </xf>
    <xf numFmtId="4" fontId="2" fillId="4" borderId="1" xfId="0" applyNumberFormat="1" applyFont="1" applyFill="1" applyBorder="1" applyAlignment="1">
      <alignment horizontal="right"/>
    </xf>
    <xf numFmtId="4" fontId="2" fillId="4" borderId="14" xfId="0" applyNumberFormat="1" applyFont="1" applyFill="1" applyBorder="1" applyAlignment="1">
      <alignment horizontal="right"/>
    </xf>
    <xf numFmtId="4" fontId="2" fillId="2" borderId="27" xfId="0" applyNumberFormat="1" applyFont="1" applyFill="1" applyBorder="1" applyAlignment="1">
      <alignment horizontal="right"/>
    </xf>
    <xf numFmtId="4" fontId="2" fillId="2" borderId="26" xfId="0" applyNumberFormat="1" applyFont="1" applyFill="1" applyBorder="1" applyAlignment="1">
      <alignment horizontal="right"/>
    </xf>
    <xf numFmtId="4" fontId="0" fillId="5" borderId="1" xfId="0" applyNumberFormat="1" applyFill="1" applyBorder="1" applyAlignment="1">
      <alignment horizontal="right"/>
    </xf>
    <xf numFmtId="4" fontId="10" fillId="5" borderId="1" xfId="0" applyNumberFormat="1" applyFont="1" applyFill="1" applyBorder="1" applyAlignment="1">
      <alignment horizontal="right"/>
    </xf>
    <xf numFmtId="4" fontId="10" fillId="5" borderId="14" xfId="0" applyNumberFormat="1" applyFont="1" applyFill="1" applyBorder="1" applyAlignment="1">
      <alignment horizontal="right"/>
    </xf>
    <xf numFmtId="0" fontId="10" fillId="5" borderId="1" xfId="0" applyFont="1" applyFill="1" applyBorder="1" applyAlignment="1">
      <alignment horizontal="center"/>
    </xf>
    <xf numFmtId="4" fontId="10" fillId="5" borderId="1" xfId="0" applyNumberFormat="1" applyFont="1" applyFill="1" applyBorder="1" applyAlignment="1">
      <alignment horizontal="center"/>
    </xf>
    <xf numFmtId="4" fontId="0" fillId="0" borderId="0" xfId="0" applyNumberFormat="1"/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5" xfId="0" applyBorder="1" applyAlignment="1">
      <alignment horizontal="center"/>
    </xf>
    <xf numFmtId="0" fontId="4" fillId="0" borderId="24" xfId="0" applyFont="1" applyBorder="1" applyAlignment="1">
      <alignment horizontal="center" vertical="center"/>
    </xf>
    <xf numFmtId="0" fontId="0" fillId="0" borderId="25" xfId="0" applyBorder="1"/>
    <xf numFmtId="0" fontId="4" fillId="2" borderId="27" xfId="0" applyFont="1" applyFill="1" applyBorder="1" applyAlignment="1">
      <alignment horizontal="center"/>
    </xf>
    <xf numFmtId="0" fontId="1" fillId="5" borderId="6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3" fillId="5" borderId="9" xfId="0" applyFont="1" applyFill="1" applyBorder="1" applyAlignment="1">
      <alignment horizontal="left" wrapText="1"/>
    </xf>
    <xf numFmtId="0" fontId="3" fillId="5" borderId="5" xfId="0" applyFont="1" applyFill="1" applyBorder="1" applyAlignment="1">
      <alignment horizontal="left" wrapText="1"/>
    </xf>
    <xf numFmtId="0" fontId="3" fillId="5" borderId="5" xfId="0" applyFont="1" applyFill="1" applyBorder="1" applyAlignment="1">
      <alignment horizontal="left"/>
    </xf>
    <xf numFmtId="0" fontId="3" fillId="5" borderId="10" xfId="0" applyFont="1" applyFill="1" applyBorder="1" applyAlignment="1">
      <alignment horizontal="left"/>
    </xf>
    <xf numFmtId="0" fontId="3" fillId="5" borderId="9" xfId="0" applyFont="1" applyFill="1" applyBorder="1" applyAlignment="1">
      <alignment horizontal="left"/>
    </xf>
    <xf numFmtId="0" fontId="3" fillId="5" borderId="3" xfId="0" applyFont="1" applyFill="1" applyBorder="1" applyAlignment="1">
      <alignment horizontal="left"/>
    </xf>
    <xf numFmtId="0" fontId="3" fillId="5" borderId="2" xfId="0" applyFont="1" applyFill="1" applyBorder="1" applyAlignment="1">
      <alignment horizontal="center"/>
    </xf>
    <xf numFmtId="0" fontId="3" fillId="5" borderId="10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0" fontId="4" fillId="5" borderId="18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0" fontId="4" fillId="5" borderId="18" xfId="0" applyFont="1" applyFill="1" applyBorder="1" applyAlignment="1">
      <alignment horizontal="center" vertical="center"/>
    </xf>
    <xf numFmtId="0" fontId="4" fillId="5" borderId="22" xfId="0" applyFont="1" applyFill="1" applyBorder="1" applyAlignment="1">
      <alignment horizontal="center" vertical="center"/>
    </xf>
    <xf numFmtId="0" fontId="4" fillId="5" borderId="15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left"/>
    </xf>
    <xf numFmtId="0" fontId="2" fillId="4" borderId="3" xfId="0" applyFont="1" applyFill="1" applyBorder="1" applyAlignment="1">
      <alignment horizontal="left"/>
    </xf>
    <xf numFmtId="0" fontId="2" fillId="4" borderId="5" xfId="0" applyFont="1" applyFill="1" applyBorder="1" applyAlignment="1">
      <alignment horizontal="left"/>
    </xf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1009650</xdr:colOff>
      <xdr:row>1</xdr:row>
      <xdr:rowOff>0</xdr:rowOff>
    </xdr:to>
    <xdr:pic>
      <xdr:nvPicPr>
        <xdr:cNvPr id="3" name="Imagem 2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12014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24093</xdr:colOff>
      <xdr:row>35</xdr:row>
      <xdr:rowOff>9525</xdr:rowOff>
    </xdr:from>
    <xdr:to>
      <xdr:col>9</xdr:col>
      <xdr:colOff>1009650</xdr:colOff>
      <xdr:row>40</xdr:row>
      <xdr:rowOff>186018</xdr:rowOff>
    </xdr:to>
    <xdr:pic>
      <xdr:nvPicPr>
        <xdr:cNvPr id="5" name="Imagem 4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093" y="19230975"/>
          <a:ext cx="11177307" cy="1128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XEV53"/>
  <sheetViews>
    <sheetView tabSelected="1" topLeftCell="A20" zoomScaleNormal="100" workbookViewId="0">
      <selection activeCell="F27" sqref="F27"/>
    </sheetView>
  </sheetViews>
  <sheetFormatPr defaultRowHeight="15" x14ac:dyDescent="0.25"/>
  <cols>
    <col min="1" max="1" width="5.5703125" bestFit="1" customWidth="1"/>
    <col min="2" max="2" width="13" customWidth="1"/>
    <col min="3" max="3" width="18.85546875" bestFit="1" customWidth="1"/>
    <col min="4" max="4" width="52.140625" customWidth="1"/>
    <col min="5" max="5" width="8.5703125" style="1" customWidth="1"/>
    <col min="6" max="6" width="16" style="1" customWidth="1"/>
    <col min="7" max="7" width="11.7109375" bestFit="1" customWidth="1"/>
    <col min="8" max="8" width="11.85546875" bestFit="1" customWidth="1"/>
    <col min="9" max="9" width="15.140625" bestFit="1" customWidth="1"/>
    <col min="10" max="10" width="15.42578125" bestFit="1" customWidth="1"/>
    <col min="11" max="11" width="21.7109375" customWidth="1"/>
    <col min="12" max="12" width="19.5703125" customWidth="1"/>
    <col min="13" max="13" width="16.28515625" customWidth="1"/>
    <col min="14" max="14" width="15.7109375" customWidth="1"/>
    <col min="15" max="15" width="18.140625" customWidth="1"/>
  </cols>
  <sheetData>
    <row r="1" spans="1:16376" ht="141.75" customHeight="1" x14ac:dyDescent="0.25">
      <c r="A1" s="69"/>
      <c r="B1" s="70"/>
      <c r="C1" s="70"/>
      <c r="D1" s="70"/>
      <c r="E1" s="70"/>
      <c r="F1" s="70"/>
      <c r="G1" s="70"/>
      <c r="H1" s="70"/>
      <c r="I1" s="70"/>
      <c r="J1" s="71"/>
      <c r="L1" t="s">
        <v>34</v>
      </c>
      <c r="M1" s="19">
        <v>190000</v>
      </c>
      <c r="N1" t="s">
        <v>35</v>
      </c>
    </row>
    <row r="2" spans="1:16376" ht="22.5" customHeight="1" x14ac:dyDescent="0.3">
      <c r="A2" s="72" t="s">
        <v>81</v>
      </c>
      <c r="B2" s="73"/>
      <c r="C2" s="73"/>
      <c r="D2" s="74"/>
      <c r="E2" s="74"/>
      <c r="F2" s="74"/>
      <c r="G2" s="74"/>
      <c r="H2" s="74"/>
      <c r="I2" s="74"/>
      <c r="J2" s="75"/>
      <c r="M2" s="19">
        <v>60000</v>
      </c>
      <c r="N2" t="s">
        <v>36</v>
      </c>
    </row>
    <row r="3" spans="1:16376" ht="21.75" customHeight="1" x14ac:dyDescent="0.3">
      <c r="A3" s="76" t="s">
        <v>72</v>
      </c>
      <c r="B3" s="74"/>
      <c r="C3" s="74"/>
      <c r="D3" s="74"/>
      <c r="E3" s="74"/>
      <c r="F3" s="74"/>
      <c r="G3" s="74"/>
      <c r="H3" s="74"/>
      <c r="I3" s="74"/>
      <c r="J3" s="75"/>
      <c r="M3" s="19">
        <v>150000</v>
      </c>
      <c r="N3" t="s">
        <v>26</v>
      </c>
    </row>
    <row r="4" spans="1:16376" ht="21.75" customHeight="1" x14ac:dyDescent="0.3">
      <c r="A4" s="76" t="s">
        <v>12</v>
      </c>
      <c r="B4" s="74"/>
      <c r="C4" s="74"/>
      <c r="D4" s="74"/>
      <c r="E4" s="74"/>
      <c r="F4" s="74"/>
      <c r="G4" s="74"/>
      <c r="H4" s="77"/>
      <c r="I4" s="78" t="s">
        <v>86</v>
      </c>
      <c r="J4" s="79"/>
    </row>
    <row r="5" spans="1:16376" ht="44.25" customHeight="1" x14ac:dyDescent="0.25">
      <c r="A5" s="12" t="s">
        <v>0</v>
      </c>
      <c r="B5" s="13" t="s">
        <v>5</v>
      </c>
      <c r="C5" s="13" t="s">
        <v>6</v>
      </c>
      <c r="D5" s="13" t="s">
        <v>1</v>
      </c>
      <c r="E5" s="13" t="s">
        <v>2</v>
      </c>
      <c r="F5" s="14" t="s">
        <v>3</v>
      </c>
      <c r="G5" s="14" t="s">
        <v>7</v>
      </c>
      <c r="H5" s="14" t="s">
        <v>17</v>
      </c>
      <c r="I5" s="14" t="s">
        <v>8</v>
      </c>
      <c r="J5" s="15" t="s">
        <v>18</v>
      </c>
    </row>
    <row r="6" spans="1:16376" ht="24.75" customHeight="1" x14ac:dyDescent="0.25">
      <c r="A6" s="25">
        <v>1</v>
      </c>
      <c r="B6" s="17"/>
      <c r="C6" s="17"/>
      <c r="D6" s="88" t="s">
        <v>65</v>
      </c>
      <c r="E6" s="89"/>
      <c r="F6" s="18"/>
      <c r="G6" s="18"/>
      <c r="H6" s="18"/>
      <c r="I6" s="47">
        <f>SUM(I7:I17)</f>
        <v>3291131.08</v>
      </c>
      <c r="J6" s="48">
        <f>SUM(J7:J17)</f>
        <v>4086956.33</v>
      </c>
    </row>
    <row r="7" spans="1:16376" s="2" customFormat="1" ht="33.75" customHeight="1" x14ac:dyDescent="0.25">
      <c r="A7" s="30" t="s">
        <v>37</v>
      </c>
      <c r="B7" s="31" t="s">
        <v>83</v>
      </c>
      <c r="C7" s="31" t="s">
        <v>74</v>
      </c>
      <c r="D7" s="35" t="s">
        <v>82</v>
      </c>
      <c r="E7" s="32" t="s">
        <v>11</v>
      </c>
      <c r="F7" s="33">
        <f>20000/2</f>
        <v>10000</v>
      </c>
      <c r="G7" s="43">
        <v>3.3</v>
      </c>
      <c r="H7" s="43">
        <f>ROUND(G7*1.2423,2)</f>
        <v>4.0999999999999996</v>
      </c>
      <c r="I7" s="51">
        <f>ROUND(F7*G7,2)</f>
        <v>33000</v>
      </c>
      <c r="J7" s="46">
        <f>ROUND(F7*H7,2)</f>
        <v>41000</v>
      </c>
      <c r="K7" s="56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  <c r="XAM7"/>
      <c r="XAN7"/>
      <c r="XAO7"/>
      <c r="XAP7"/>
      <c r="XAQ7"/>
      <c r="XAR7"/>
      <c r="XAS7"/>
      <c r="XAT7"/>
      <c r="XAU7"/>
      <c r="XAV7"/>
      <c r="XAW7"/>
      <c r="XAX7"/>
      <c r="XAY7"/>
      <c r="XAZ7"/>
      <c r="XBA7"/>
      <c r="XBB7"/>
      <c r="XBC7"/>
      <c r="XBD7"/>
      <c r="XBE7"/>
      <c r="XBF7"/>
      <c r="XBG7"/>
      <c r="XBH7"/>
      <c r="XBI7"/>
      <c r="XBJ7"/>
      <c r="XBK7"/>
      <c r="XBL7"/>
      <c r="XBM7"/>
      <c r="XBN7"/>
      <c r="XBO7"/>
      <c r="XBP7"/>
      <c r="XBQ7"/>
      <c r="XBR7"/>
      <c r="XBS7"/>
      <c r="XBT7"/>
      <c r="XBU7"/>
      <c r="XBV7"/>
      <c r="XBW7"/>
      <c r="XBX7"/>
      <c r="XBY7"/>
      <c r="XBZ7"/>
      <c r="XCA7"/>
      <c r="XCB7"/>
      <c r="XCC7"/>
      <c r="XCD7"/>
      <c r="XCE7"/>
      <c r="XCF7"/>
      <c r="XCG7"/>
      <c r="XCH7"/>
      <c r="XCI7"/>
      <c r="XCJ7"/>
      <c r="XCK7"/>
      <c r="XCL7"/>
      <c r="XCM7"/>
      <c r="XCN7"/>
      <c r="XCO7"/>
      <c r="XCP7"/>
      <c r="XCQ7"/>
      <c r="XCR7"/>
      <c r="XCS7"/>
      <c r="XCT7"/>
      <c r="XCU7"/>
      <c r="XCV7"/>
      <c r="XCW7"/>
      <c r="XCX7"/>
      <c r="XCY7"/>
      <c r="XCZ7"/>
      <c r="XDA7"/>
      <c r="XDB7"/>
      <c r="XDC7"/>
      <c r="XDD7"/>
      <c r="XDE7"/>
      <c r="XDF7"/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  <c r="XEM7"/>
      <c r="XEN7"/>
      <c r="XEO7"/>
      <c r="XEP7"/>
      <c r="XEQ7"/>
      <c r="XER7"/>
      <c r="XES7"/>
      <c r="XET7"/>
      <c r="XEU7"/>
      <c r="XEV7"/>
    </row>
    <row r="8" spans="1:16376" ht="50.25" customHeight="1" x14ac:dyDescent="0.25">
      <c r="A8" s="30" t="s">
        <v>38</v>
      </c>
      <c r="B8" s="31" t="s">
        <v>24</v>
      </c>
      <c r="C8" s="31" t="s">
        <v>74</v>
      </c>
      <c r="D8" s="35" t="s">
        <v>23</v>
      </c>
      <c r="E8" s="32" t="s">
        <v>10</v>
      </c>
      <c r="F8" s="33">
        <f>(F12*0.5)/2</f>
        <v>7500</v>
      </c>
      <c r="G8" s="43">
        <v>8.48</v>
      </c>
      <c r="H8" s="43">
        <f t="shared" ref="H8:H25" si="0">ROUND(G8*1.2423,2)</f>
        <v>10.53</v>
      </c>
      <c r="I8" s="51">
        <f t="shared" ref="I8:I25" si="1">ROUND(F8*G8,2)</f>
        <v>63600</v>
      </c>
      <c r="J8" s="46">
        <f t="shared" ref="J8:J25" si="2">ROUND(F8*H8,2)</f>
        <v>78975</v>
      </c>
      <c r="K8" s="56"/>
    </row>
    <row r="9" spans="1:16376" ht="30" customHeight="1" x14ac:dyDescent="0.25">
      <c r="A9" s="30" t="s">
        <v>39</v>
      </c>
      <c r="B9" s="31" t="s">
        <v>64</v>
      </c>
      <c r="C9" s="31" t="s">
        <v>74</v>
      </c>
      <c r="D9" s="35" t="s">
        <v>66</v>
      </c>
      <c r="E9" s="32" t="s">
        <v>10</v>
      </c>
      <c r="F9" s="33">
        <v>3000</v>
      </c>
      <c r="G9" s="43">
        <v>15.07</v>
      </c>
      <c r="H9" s="43">
        <f t="shared" ref="H9" si="3">ROUND(G9*1.2423,2)</f>
        <v>18.72</v>
      </c>
      <c r="I9" s="51">
        <f t="shared" ref="I9" si="4">ROUND(F9*G9,2)</f>
        <v>45210</v>
      </c>
      <c r="J9" s="46">
        <f t="shared" ref="J9" si="5">ROUND(F9*H9,2)</f>
        <v>56160</v>
      </c>
      <c r="K9" s="56"/>
    </row>
    <row r="10" spans="1:16376" ht="51" customHeight="1" x14ac:dyDescent="0.25">
      <c r="A10" s="30" t="s">
        <v>40</v>
      </c>
      <c r="B10" s="31">
        <v>96001</v>
      </c>
      <c r="C10" s="54" t="s">
        <v>75</v>
      </c>
      <c r="D10" s="35" t="s">
        <v>84</v>
      </c>
      <c r="E10" s="32" t="s">
        <v>10</v>
      </c>
      <c r="F10" s="33">
        <v>150000</v>
      </c>
      <c r="G10" s="43">
        <v>7.93</v>
      </c>
      <c r="H10" s="43">
        <f t="shared" si="0"/>
        <v>9.85</v>
      </c>
      <c r="I10" s="51">
        <f t="shared" si="1"/>
        <v>1189500</v>
      </c>
      <c r="J10" s="46">
        <f t="shared" si="2"/>
        <v>1477500</v>
      </c>
      <c r="K10" s="56"/>
    </row>
    <row r="11" spans="1:16376" ht="32.25" customHeight="1" x14ac:dyDescent="0.25">
      <c r="A11" s="30" t="s">
        <v>41</v>
      </c>
      <c r="B11" s="31" t="s">
        <v>51</v>
      </c>
      <c r="C11" s="31" t="s">
        <v>73</v>
      </c>
      <c r="D11" s="35" t="s">
        <v>50</v>
      </c>
      <c r="E11" s="32" t="s">
        <v>10</v>
      </c>
      <c r="F11" s="33">
        <v>10000</v>
      </c>
      <c r="G11" s="43">
        <v>15.11</v>
      </c>
      <c r="H11" s="43">
        <f t="shared" ref="H11" si="6">ROUND(G11*1.2423,2)</f>
        <v>18.77</v>
      </c>
      <c r="I11" s="51">
        <f t="shared" ref="I11" si="7">ROUND(F11*G11,2)</f>
        <v>151100</v>
      </c>
      <c r="J11" s="46">
        <f t="shared" ref="J11" si="8">ROUND(F11*H11,2)</f>
        <v>187700</v>
      </c>
      <c r="K11" s="56"/>
    </row>
    <row r="12" spans="1:16376" ht="37.5" customHeight="1" x14ac:dyDescent="0.25">
      <c r="A12" s="30" t="s">
        <v>42</v>
      </c>
      <c r="B12" s="31" t="s">
        <v>22</v>
      </c>
      <c r="C12" s="31" t="s">
        <v>73</v>
      </c>
      <c r="D12" s="35" t="s">
        <v>21</v>
      </c>
      <c r="E12" s="32" t="s">
        <v>9</v>
      </c>
      <c r="F12" s="33">
        <f>(F10/5*2)/2</f>
        <v>30000</v>
      </c>
      <c r="G12" s="43">
        <v>1.9</v>
      </c>
      <c r="H12" s="43">
        <f t="shared" si="0"/>
        <v>2.36</v>
      </c>
      <c r="I12" s="51">
        <f t="shared" si="1"/>
        <v>57000</v>
      </c>
      <c r="J12" s="46">
        <f t="shared" si="2"/>
        <v>70800</v>
      </c>
      <c r="K12" s="56"/>
    </row>
    <row r="13" spans="1:16376" ht="77.25" customHeight="1" x14ac:dyDescent="0.25">
      <c r="A13" s="30" t="s">
        <v>52</v>
      </c>
      <c r="B13" s="31">
        <v>100982</v>
      </c>
      <c r="C13" s="54" t="s">
        <v>75</v>
      </c>
      <c r="D13" s="35" t="s">
        <v>87</v>
      </c>
      <c r="E13" s="54" t="s">
        <v>11</v>
      </c>
      <c r="F13" s="55">
        <f>((F10*0.05)+(F11*0.1)+(F8*0.1)+(F9*0.07))*1.3</f>
        <v>12298</v>
      </c>
      <c r="G13" s="43">
        <v>7.01</v>
      </c>
      <c r="H13" s="43">
        <f t="shared" si="0"/>
        <v>8.7100000000000009</v>
      </c>
      <c r="I13" s="51">
        <f t="shared" ref="I13" si="9">ROUND(F13*G13,2)</f>
        <v>86208.98</v>
      </c>
      <c r="J13" s="46">
        <f t="shared" ref="J13" si="10">ROUND(F13*H13,2)</f>
        <v>107115.58</v>
      </c>
      <c r="K13" s="56"/>
    </row>
    <row r="14" spans="1:16376" ht="85.5" customHeight="1" x14ac:dyDescent="0.25">
      <c r="A14" s="30" t="s">
        <v>68</v>
      </c>
      <c r="B14" s="54">
        <v>100974</v>
      </c>
      <c r="C14" s="54" t="s">
        <v>75</v>
      </c>
      <c r="D14" s="40" t="s">
        <v>80</v>
      </c>
      <c r="E14" s="54" t="s">
        <v>11</v>
      </c>
      <c r="F14" s="55">
        <f>((F20)+(F21)+(F24)+(F25))*1.3</f>
        <v>35035</v>
      </c>
      <c r="G14" s="45">
        <v>6.9</v>
      </c>
      <c r="H14" s="45">
        <f t="shared" si="0"/>
        <v>8.57</v>
      </c>
      <c r="I14" s="52">
        <f t="shared" si="1"/>
        <v>241741.5</v>
      </c>
      <c r="J14" s="53">
        <f t="shared" si="2"/>
        <v>300249.95</v>
      </c>
      <c r="K14" s="56"/>
    </row>
    <row r="15" spans="1:16376" ht="50.25" customHeight="1" x14ac:dyDescent="0.25">
      <c r="A15" s="30" t="s">
        <v>77</v>
      </c>
      <c r="B15" s="54" t="s">
        <v>90</v>
      </c>
      <c r="C15" s="31" t="s">
        <v>74</v>
      </c>
      <c r="D15" s="40" t="s">
        <v>91</v>
      </c>
      <c r="E15" s="54" t="s">
        <v>25</v>
      </c>
      <c r="F15" s="55">
        <f>(F7+F13)*20</f>
        <v>445960</v>
      </c>
      <c r="G15" s="45">
        <v>0.71</v>
      </c>
      <c r="H15" s="45">
        <f t="shared" si="0"/>
        <v>0.88</v>
      </c>
      <c r="I15" s="52">
        <f t="shared" si="1"/>
        <v>316631.59999999998</v>
      </c>
      <c r="J15" s="53">
        <f t="shared" si="2"/>
        <v>392444.8</v>
      </c>
      <c r="K15" s="56"/>
    </row>
    <row r="16" spans="1:16376" ht="47.25" customHeight="1" x14ac:dyDescent="0.25">
      <c r="A16" s="30" t="s">
        <v>92</v>
      </c>
      <c r="B16" s="54" t="s">
        <v>88</v>
      </c>
      <c r="C16" s="31" t="s">
        <v>74</v>
      </c>
      <c r="D16" s="40" t="s">
        <v>89</v>
      </c>
      <c r="E16" s="54" t="s">
        <v>25</v>
      </c>
      <c r="F16" s="55">
        <f>F14*20</f>
        <v>700700</v>
      </c>
      <c r="G16" s="45">
        <v>1.07</v>
      </c>
      <c r="H16" s="45">
        <f t="shared" si="0"/>
        <v>1.33</v>
      </c>
      <c r="I16" s="52">
        <f t="shared" si="1"/>
        <v>749749</v>
      </c>
      <c r="J16" s="53">
        <f t="shared" si="2"/>
        <v>931931</v>
      </c>
      <c r="K16" s="56"/>
    </row>
    <row r="17" spans="1:16376" ht="48.75" customHeight="1" x14ac:dyDescent="0.25">
      <c r="A17" s="30" t="s">
        <v>93</v>
      </c>
      <c r="B17" s="54" t="s">
        <v>78</v>
      </c>
      <c r="C17" s="54" t="s">
        <v>74</v>
      </c>
      <c r="D17" s="40" t="s">
        <v>79</v>
      </c>
      <c r="E17" s="54" t="s">
        <v>25</v>
      </c>
      <c r="F17" s="55">
        <f>(F24+F25)*20</f>
        <v>209000</v>
      </c>
      <c r="G17" s="45">
        <v>1.71</v>
      </c>
      <c r="H17" s="45">
        <f t="shared" si="0"/>
        <v>2.12</v>
      </c>
      <c r="I17" s="52">
        <f t="shared" si="1"/>
        <v>357390</v>
      </c>
      <c r="J17" s="53">
        <f t="shared" si="2"/>
        <v>443080</v>
      </c>
      <c r="K17" s="56"/>
    </row>
    <row r="18" spans="1:16376" ht="24.75" customHeight="1" x14ac:dyDescent="0.25">
      <c r="A18" s="25">
        <v>2</v>
      </c>
      <c r="B18" s="26"/>
      <c r="C18" s="26"/>
      <c r="D18" s="28" t="s">
        <v>31</v>
      </c>
      <c r="E18" s="11"/>
      <c r="F18" s="16"/>
      <c r="G18" s="44"/>
      <c r="H18" s="44"/>
      <c r="I18" s="47">
        <f>SUM(I19:I25)</f>
        <v>18536638.5</v>
      </c>
      <c r="J18" s="48">
        <f>SUM(J19:J25)</f>
        <v>23028792</v>
      </c>
      <c r="K18" s="56"/>
    </row>
    <row r="19" spans="1:16376" ht="63" x14ac:dyDescent="0.25">
      <c r="A19" s="36" t="s">
        <v>43</v>
      </c>
      <c r="B19" s="31" t="s">
        <v>20</v>
      </c>
      <c r="C19" s="31" t="s">
        <v>74</v>
      </c>
      <c r="D19" s="35" t="s">
        <v>19</v>
      </c>
      <c r="E19" s="32" t="s">
        <v>11</v>
      </c>
      <c r="F19" s="33">
        <f>(M2*0.5)/2</f>
        <v>15000</v>
      </c>
      <c r="G19" s="43">
        <v>12.23</v>
      </c>
      <c r="H19" s="43">
        <f t="shared" si="0"/>
        <v>15.19</v>
      </c>
      <c r="I19" s="51">
        <f t="shared" si="1"/>
        <v>183450</v>
      </c>
      <c r="J19" s="46">
        <f t="shared" si="2"/>
        <v>227850</v>
      </c>
      <c r="K19" s="56"/>
    </row>
    <row r="20" spans="1:16376" ht="47.25" x14ac:dyDescent="0.25">
      <c r="A20" s="36" t="s">
        <v>44</v>
      </c>
      <c r="B20" s="31">
        <v>96399</v>
      </c>
      <c r="C20" s="31" t="s">
        <v>75</v>
      </c>
      <c r="D20" s="35" t="s">
        <v>27</v>
      </c>
      <c r="E20" s="32" t="s">
        <v>11</v>
      </c>
      <c r="F20" s="33">
        <f>(M2*0.3)/2</f>
        <v>9000</v>
      </c>
      <c r="G20" s="43">
        <v>104.06</v>
      </c>
      <c r="H20" s="43">
        <f t="shared" si="0"/>
        <v>129.27000000000001</v>
      </c>
      <c r="I20" s="51">
        <f t="shared" si="1"/>
        <v>936540</v>
      </c>
      <c r="J20" s="46">
        <f t="shared" si="2"/>
        <v>1163430</v>
      </c>
      <c r="K20" s="56"/>
    </row>
    <row r="21" spans="1:16376" s="2" customFormat="1" ht="47.25" x14ac:dyDescent="0.25">
      <c r="A21" s="36" t="s">
        <v>45</v>
      </c>
      <c r="B21" s="37">
        <v>96396</v>
      </c>
      <c r="C21" s="31" t="s">
        <v>75</v>
      </c>
      <c r="D21" s="35" t="s">
        <v>28</v>
      </c>
      <c r="E21" s="32" t="s">
        <v>11</v>
      </c>
      <c r="F21" s="33">
        <f>(M2*0.25)/2</f>
        <v>7500</v>
      </c>
      <c r="G21" s="43">
        <v>151.96</v>
      </c>
      <c r="H21" s="43">
        <f t="shared" si="0"/>
        <v>188.78</v>
      </c>
      <c r="I21" s="51">
        <f t="shared" si="1"/>
        <v>1139700</v>
      </c>
      <c r="J21" s="46">
        <f t="shared" si="2"/>
        <v>1415850</v>
      </c>
      <c r="K21" s="56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</row>
    <row r="22" spans="1:16376" s="2" customFormat="1" ht="47.25" x14ac:dyDescent="0.25">
      <c r="A22" s="36" t="s">
        <v>46</v>
      </c>
      <c r="B22" s="37" t="s">
        <v>30</v>
      </c>
      <c r="C22" s="31" t="s">
        <v>74</v>
      </c>
      <c r="D22" s="35" t="s">
        <v>29</v>
      </c>
      <c r="E22" s="38" t="s">
        <v>10</v>
      </c>
      <c r="F22" s="33">
        <f>(M1)/2</f>
        <v>95000</v>
      </c>
      <c r="G22" s="43">
        <v>3.62</v>
      </c>
      <c r="H22" s="43">
        <f t="shared" si="0"/>
        <v>4.5</v>
      </c>
      <c r="I22" s="51">
        <f t="shared" si="1"/>
        <v>343900</v>
      </c>
      <c r="J22" s="46">
        <f t="shared" si="2"/>
        <v>427500</v>
      </c>
      <c r="K22" s="56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</row>
    <row r="23" spans="1:16376" s="2" customFormat="1" ht="51.75" customHeight="1" x14ac:dyDescent="0.25">
      <c r="A23" s="36" t="s">
        <v>47</v>
      </c>
      <c r="B23" s="37" t="s">
        <v>85</v>
      </c>
      <c r="C23" s="31" t="s">
        <v>74</v>
      </c>
      <c r="D23" s="35" t="s">
        <v>76</v>
      </c>
      <c r="E23" s="38" t="s">
        <v>10</v>
      </c>
      <c r="F23" s="33">
        <f>(M1*2)/2</f>
        <v>190000</v>
      </c>
      <c r="G23" s="43">
        <v>1.97</v>
      </c>
      <c r="H23" s="43">
        <f t="shared" si="0"/>
        <v>2.4500000000000002</v>
      </c>
      <c r="I23" s="51">
        <f t="shared" si="1"/>
        <v>374300</v>
      </c>
      <c r="J23" s="46">
        <f t="shared" si="2"/>
        <v>465500</v>
      </c>
      <c r="K23" s="56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</row>
    <row r="24" spans="1:16376" s="2" customFormat="1" ht="50.25" customHeight="1" x14ac:dyDescent="0.25">
      <c r="A24" s="39" t="s">
        <v>48</v>
      </c>
      <c r="B24" s="37">
        <v>95996</v>
      </c>
      <c r="C24" s="31" t="s">
        <v>75</v>
      </c>
      <c r="D24" s="40" t="s">
        <v>53</v>
      </c>
      <c r="E24" s="41" t="s">
        <v>11</v>
      </c>
      <c r="F24" s="33">
        <f>(M1*0.05)/2</f>
        <v>4750</v>
      </c>
      <c r="G24" s="43">
        <v>1449.15</v>
      </c>
      <c r="H24" s="45">
        <f t="shared" si="0"/>
        <v>1800.28</v>
      </c>
      <c r="I24" s="52">
        <f t="shared" si="1"/>
        <v>6883462.5</v>
      </c>
      <c r="J24" s="53">
        <f t="shared" si="2"/>
        <v>8551330</v>
      </c>
      <c r="K24" s="56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</row>
    <row r="25" spans="1:16376" s="2" customFormat="1" ht="50.25" customHeight="1" x14ac:dyDescent="0.25">
      <c r="A25" s="39" t="s">
        <v>49</v>
      </c>
      <c r="B25" s="42">
        <v>95995</v>
      </c>
      <c r="C25" s="31" t="s">
        <v>75</v>
      </c>
      <c r="D25" s="40" t="s">
        <v>54</v>
      </c>
      <c r="E25" s="41" t="s">
        <v>11</v>
      </c>
      <c r="F25" s="33">
        <f>(M1*0.06)/2</f>
        <v>5700</v>
      </c>
      <c r="G25" s="43">
        <v>1521.98</v>
      </c>
      <c r="H25" s="45">
        <f t="shared" si="0"/>
        <v>1890.76</v>
      </c>
      <c r="I25" s="52">
        <f t="shared" si="1"/>
        <v>8675286</v>
      </c>
      <c r="J25" s="53">
        <f t="shared" si="2"/>
        <v>10777332</v>
      </c>
      <c r="K25" s="56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</row>
    <row r="26" spans="1:16376" ht="24.75" customHeight="1" x14ac:dyDescent="0.25">
      <c r="A26" s="25">
        <v>3</v>
      </c>
      <c r="B26" s="26"/>
      <c r="C26" s="26"/>
      <c r="D26" s="88" t="s">
        <v>55</v>
      </c>
      <c r="E26" s="90"/>
      <c r="F26" s="90"/>
      <c r="G26" s="89"/>
      <c r="H26" s="27"/>
      <c r="I26" s="47">
        <f>SUM(I27:I30)</f>
        <v>671425</v>
      </c>
      <c r="J26" s="47">
        <f>SUM(J27:J30)</f>
        <v>834080</v>
      </c>
      <c r="K26" s="56"/>
    </row>
    <row r="27" spans="1:16376" s="2" customFormat="1" ht="99.75" customHeight="1" x14ac:dyDescent="0.25">
      <c r="A27" s="36" t="s">
        <v>57</v>
      </c>
      <c r="B27" s="37" t="s">
        <v>56</v>
      </c>
      <c r="C27" s="31" t="s">
        <v>74</v>
      </c>
      <c r="D27" s="35" t="s">
        <v>58</v>
      </c>
      <c r="E27" s="38" t="s">
        <v>9</v>
      </c>
      <c r="F27" s="33">
        <v>5000</v>
      </c>
      <c r="G27" s="34">
        <v>45.82</v>
      </c>
      <c r="H27" s="43">
        <f t="shared" ref="H27" si="11">ROUND(G27*1.2423,2)</f>
        <v>56.92</v>
      </c>
      <c r="I27" s="51">
        <f t="shared" ref="I27" si="12">ROUND(F27*G27,2)</f>
        <v>229100</v>
      </c>
      <c r="J27" s="46">
        <f t="shared" ref="J27" si="13">ROUND(F27*H27,2)</f>
        <v>284600</v>
      </c>
      <c r="K27" s="56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</row>
    <row r="28" spans="1:16376" s="2" customFormat="1" ht="98.25" customHeight="1" x14ac:dyDescent="0.25">
      <c r="A28" s="36" t="s">
        <v>61</v>
      </c>
      <c r="B28" s="37" t="s">
        <v>60</v>
      </c>
      <c r="C28" s="31" t="s">
        <v>74</v>
      </c>
      <c r="D28" s="35" t="s">
        <v>59</v>
      </c>
      <c r="E28" s="38" t="s">
        <v>9</v>
      </c>
      <c r="F28" s="33">
        <v>10000</v>
      </c>
      <c r="G28" s="34">
        <v>28.03</v>
      </c>
      <c r="H28" s="43">
        <f t="shared" ref="H28" si="14">ROUND(G28*1.2423,2)</f>
        <v>34.82</v>
      </c>
      <c r="I28" s="51">
        <f t="shared" ref="I28" si="15">ROUND(F28*G28,2)</f>
        <v>280300</v>
      </c>
      <c r="J28" s="46">
        <f t="shared" ref="J28" si="16">ROUND(F28*H28,2)</f>
        <v>348200</v>
      </c>
      <c r="K28" s="56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</row>
    <row r="29" spans="1:16376" s="2" customFormat="1" ht="36" customHeight="1" x14ac:dyDescent="0.25">
      <c r="A29" s="36" t="s">
        <v>67</v>
      </c>
      <c r="B29" s="37" t="s">
        <v>62</v>
      </c>
      <c r="C29" s="31" t="s">
        <v>74</v>
      </c>
      <c r="D29" s="35" t="s">
        <v>63</v>
      </c>
      <c r="E29" s="38" t="s">
        <v>9</v>
      </c>
      <c r="F29" s="33">
        <v>1000</v>
      </c>
      <c r="G29" s="34">
        <v>32.159999999999997</v>
      </c>
      <c r="H29" s="43">
        <f t="shared" ref="H29" si="17">ROUND(G29*1.2423,2)</f>
        <v>39.950000000000003</v>
      </c>
      <c r="I29" s="51">
        <f t="shared" ref="I29" si="18">ROUND(F29*G29,2)</f>
        <v>32160</v>
      </c>
      <c r="J29" s="46">
        <f t="shared" ref="J29" si="19">ROUND(F29*H29,2)</f>
        <v>39950</v>
      </c>
      <c r="K29" s="56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</row>
    <row r="30" spans="1:16376" s="2" customFormat="1" ht="37.5" customHeight="1" x14ac:dyDescent="0.25">
      <c r="A30" s="36" t="s">
        <v>71</v>
      </c>
      <c r="B30" s="37" t="s">
        <v>70</v>
      </c>
      <c r="C30" s="31" t="s">
        <v>73</v>
      </c>
      <c r="D30" s="35" t="s">
        <v>69</v>
      </c>
      <c r="E30" s="38" t="s">
        <v>2</v>
      </c>
      <c r="F30" s="33">
        <v>500</v>
      </c>
      <c r="G30" s="34">
        <v>259.73</v>
      </c>
      <c r="H30" s="43">
        <f>ROUND(G30*1.2423,2)</f>
        <v>322.66000000000003</v>
      </c>
      <c r="I30" s="51">
        <f>ROUND(F30*G30,2)</f>
        <v>129865</v>
      </c>
      <c r="J30" s="46">
        <f>ROUND(F30*H30,2)</f>
        <v>161330</v>
      </c>
      <c r="K30" s="56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</row>
    <row r="31" spans="1:16376" ht="32.25" customHeight="1" thickBot="1" x14ac:dyDescent="0.3">
      <c r="A31" s="66" t="s">
        <v>13</v>
      </c>
      <c r="B31" s="67"/>
      <c r="C31" s="67"/>
      <c r="D31" s="67"/>
      <c r="E31" s="67"/>
      <c r="F31" s="67"/>
      <c r="G31" s="68" t="s">
        <v>4</v>
      </c>
      <c r="H31" s="68"/>
      <c r="I31" s="49">
        <f>I6+I18+I26</f>
        <v>22499194.579999998</v>
      </c>
      <c r="J31" s="50">
        <f>J6+J18+J26</f>
        <v>27949828.329999998</v>
      </c>
      <c r="K31" s="56"/>
    </row>
    <row r="32" spans="1:16376" ht="38.25" customHeight="1" thickBot="1" x14ac:dyDescent="0.3">
      <c r="A32" s="3"/>
      <c r="B32" s="29"/>
      <c r="C32" s="4"/>
      <c r="D32" s="4"/>
      <c r="E32" s="4"/>
      <c r="F32" s="8"/>
      <c r="G32" s="9"/>
      <c r="H32" s="9"/>
      <c r="I32" s="10"/>
      <c r="J32" s="7"/>
    </row>
    <row r="33" spans="1:13" ht="21.75" customHeight="1" x14ac:dyDescent="0.25">
      <c r="A33" s="80"/>
      <c r="B33" s="81"/>
      <c r="C33" s="81"/>
      <c r="D33" s="81"/>
      <c r="E33" s="81" t="s">
        <v>14</v>
      </c>
      <c r="F33" s="81"/>
      <c r="G33" s="81"/>
      <c r="H33" s="81"/>
      <c r="I33" s="81"/>
      <c r="J33" s="82"/>
      <c r="M33" s="56"/>
    </row>
    <row r="34" spans="1:13" ht="25.5" customHeight="1" x14ac:dyDescent="0.25">
      <c r="A34" s="83"/>
      <c r="B34" s="84"/>
      <c r="C34" s="84"/>
      <c r="D34" s="84"/>
      <c r="E34" s="84" t="s">
        <v>15</v>
      </c>
      <c r="F34" s="84"/>
      <c r="G34" s="84"/>
      <c r="H34" s="84"/>
      <c r="I34" s="84"/>
      <c r="J34" s="85"/>
    </row>
    <row r="35" spans="1:13" ht="12" customHeight="1" thickBot="1" x14ac:dyDescent="0.3">
      <c r="A35" s="5"/>
      <c r="B35" s="6"/>
      <c r="C35" s="6"/>
      <c r="D35" s="6"/>
      <c r="E35" s="86" t="s">
        <v>16</v>
      </c>
      <c r="F35" s="86"/>
      <c r="G35" s="86"/>
      <c r="H35" s="86"/>
      <c r="I35" s="86"/>
      <c r="J35" s="87"/>
    </row>
    <row r="36" spans="1:13" x14ac:dyDescent="0.25">
      <c r="A36" s="57"/>
      <c r="B36" s="58"/>
      <c r="C36" s="58"/>
      <c r="D36" s="58"/>
      <c r="E36" s="58"/>
      <c r="F36" s="58"/>
      <c r="G36" s="58"/>
      <c r="H36" s="58"/>
      <c r="I36" s="58"/>
      <c r="J36" s="59"/>
    </row>
    <row r="37" spans="1:13" x14ac:dyDescent="0.25">
      <c r="A37" s="60"/>
      <c r="B37" s="61"/>
      <c r="C37" s="61"/>
      <c r="D37" s="61"/>
      <c r="E37" s="61"/>
      <c r="F37" s="61"/>
      <c r="G37" s="61"/>
      <c r="H37" s="61"/>
      <c r="I37" s="61"/>
      <c r="J37" s="62"/>
    </row>
    <row r="38" spans="1:13" x14ac:dyDescent="0.25">
      <c r="A38" s="60"/>
      <c r="B38" s="61"/>
      <c r="C38" s="61"/>
      <c r="D38" s="61"/>
      <c r="E38" s="61"/>
      <c r="F38" s="61"/>
      <c r="G38" s="61"/>
      <c r="H38" s="61"/>
      <c r="I38" s="61"/>
      <c r="J38" s="62"/>
    </row>
    <row r="39" spans="1:13" x14ac:dyDescent="0.25">
      <c r="A39" s="60"/>
      <c r="B39" s="61"/>
      <c r="C39" s="61"/>
      <c r="D39" s="61"/>
      <c r="E39" s="61"/>
      <c r="F39" s="61"/>
      <c r="G39" s="61"/>
      <c r="H39" s="61"/>
      <c r="I39" s="61"/>
      <c r="J39" s="62"/>
    </row>
    <row r="40" spans="1:13" x14ac:dyDescent="0.25">
      <c r="A40" s="60"/>
      <c r="B40" s="61"/>
      <c r="C40" s="61"/>
      <c r="D40" s="61"/>
      <c r="E40" s="61"/>
      <c r="F40" s="61"/>
      <c r="G40" s="61"/>
      <c r="H40" s="61"/>
      <c r="I40" s="61"/>
      <c r="J40" s="62"/>
    </row>
    <row r="41" spans="1:13" x14ac:dyDescent="0.25">
      <c r="A41" s="60"/>
      <c r="B41" s="61"/>
      <c r="C41" s="61"/>
      <c r="D41" s="61"/>
      <c r="E41" s="61"/>
      <c r="F41" s="61"/>
      <c r="G41" s="61"/>
      <c r="H41" s="61"/>
      <c r="I41" s="61"/>
      <c r="J41" s="62"/>
    </row>
    <row r="42" spans="1:13" ht="1.5" customHeight="1" thickBot="1" x14ac:dyDescent="0.3">
      <c r="A42" s="63"/>
      <c r="B42" s="64"/>
      <c r="C42" s="64"/>
      <c r="D42" s="64"/>
      <c r="E42" s="64"/>
      <c r="F42" s="64"/>
      <c r="G42" s="64"/>
      <c r="H42" s="64"/>
      <c r="I42" s="64"/>
      <c r="J42" s="65"/>
    </row>
    <row r="45" spans="1:13" x14ac:dyDescent="0.25">
      <c r="D45" s="20"/>
      <c r="E45" s="21"/>
      <c r="F45" s="22">
        <v>150000</v>
      </c>
      <c r="G45" s="23"/>
      <c r="H45" s="20" t="s">
        <v>32</v>
      </c>
      <c r="I45" s="20"/>
    </row>
    <row r="46" spans="1:13" x14ac:dyDescent="0.25">
      <c r="D46" s="20"/>
      <c r="E46" s="21"/>
      <c r="F46" s="21"/>
      <c r="G46" s="24"/>
      <c r="H46" s="20"/>
      <c r="I46" s="20"/>
    </row>
    <row r="47" spans="1:13" x14ac:dyDescent="0.25">
      <c r="D47" s="20"/>
      <c r="E47" s="21" t="s">
        <v>33</v>
      </c>
      <c r="F47" s="21">
        <v>500</v>
      </c>
      <c r="G47" s="20"/>
      <c r="H47" s="20"/>
      <c r="I47" s="20"/>
    </row>
    <row r="48" spans="1:13" x14ac:dyDescent="0.25">
      <c r="D48" s="20"/>
      <c r="E48" s="21"/>
      <c r="F48" s="21"/>
      <c r="G48" s="20"/>
      <c r="H48" s="20"/>
      <c r="I48" s="20"/>
    </row>
    <row r="49" spans="4:9" x14ac:dyDescent="0.25">
      <c r="D49" s="20"/>
      <c r="E49" s="21"/>
      <c r="F49" s="21"/>
      <c r="G49" s="20"/>
      <c r="H49" s="20"/>
      <c r="I49" s="20"/>
    </row>
    <row r="50" spans="4:9" x14ac:dyDescent="0.25">
      <c r="D50" s="20"/>
      <c r="E50" s="21"/>
      <c r="F50" s="21"/>
      <c r="G50" s="20"/>
      <c r="H50" s="20"/>
      <c r="I50" s="20"/>
    </row>
    <row r="51" spans="4:9" x14ac:dyDescent="0.25">
      <c r="D51" s="20"/>
      <c r="E51" s="21"/>
      <c r="F51" s="21"/>
      <c r="G51" s="20"/>
      <c r="H51" s="20"/>
      <c r="I51" s="20"/>
    </row>
    <row r="52" spans="4:9" x14ac:dyDescent="0.25">
      <c r="D52" s="20"/>
      <c r="E52" s="21"/>
      <c r="F52" s="21"/>
      <c r="G52" s="20"/>
      <c r="H52" s="20"/>
      <c r="I52" s="20"/>
    </row>
    <row r="53" spans="4:9" x14ac:dyDescent="0.25">
      <c r="D53" s="20"/>
      <c r="E53" s="21"/>
      <c r="F53" s="21"/>
      <c r="G53" s="20"/>
      <c r="H53" s="20"/>
      <c r="I53" s="20"/>
    </row>
  </sheetData>
  <mergeCells count="15">
    <mergeCell ref="A36:J42"/>
    <mergeCell ref="A31:F31"/>
    <mergeCell ref="G31:H31"/>
    <mergeCell ref="A1:J1"/>
    <mergeCell ref="A2:J2"/>
    <mergeCell ref="A3:J3"/>
    <mergeCell ref="A4:H4"/>
    <mergeCell ref="I4:J4"/>
    <mergeCell ref="A33:D33"/>
    <mergeCell ref="E33:J33"/>
    <mergeCell ref="A34:D34"/>
    <mergeCell ref="E34:J34"/>
    <mergeCell ref="E35:J35"/>
    <mergeCell ref="D6:E6"/>
    <mergeCell ref="D26:G26"/>
  </mergeCells>
  <pageMargins left="0.51181102362204722" right="0.51181102362204722" top="0.78740157480314965" bottom="0.78740157480314965" header="0.31496062992125984" footer="0.31496062992125984"/>
  <pageSetup paperSize="9" scale="80" orientation="landscape" r:id="rId1"/>
  <rowBreaks count="1" manualBreakCount="1">
    <brk id="25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E5:E9"/>
  <sheetViews>
    <sheetView workbookViewId="0">
      <selection activeCell="E21" sqref="E21"/>
    </sheetView>
  </sheetViews>
  <sheetFormatPr defaultRowHeight="15" x14ac:dyDescent="0.25"/>
  <sheetData>
    <row r="5" spans="5:5" x14ac:dyDescent="0.25">
      <c r="E5">
        <f>14.5*2.8*2</f>
        <v>81.199999999999989</v>
      </c>
    </row>
    <row r="6" spans="5:5" x14ac:dyDescent="0.25">
      <c r="E6">
        <f>5*2.8*2</f>
        <v>28</v>
      </c>
    </row>
    <row r="7" spans="5:5" x14ac:dyDescent="0.25">
      <c r="E7">
        <f>5.5*2.8*6</f>
        <v>92.399999999999991</v>
      </c>
    </row>
    <row r="8" spans="5:5" x14ac:dyDescent="0.25">
      <c r="E8">
        <f>4*2.8*4</f>
        <v>44.8</v>
      </c>
    </row>
    <row r="9" spans="5:5" x14ac:dyDescent="0.25">
      <c r="E9">
        <f>2*2.8*4</f>
        <v>22.4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RECAP 2022</vt:lpstr>
      <vt:lpstr>Plan2</vt:lpstr>
      <vt:lpstr>'RECAP 2022'!Area_de_impressao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Marcello Yan de Castro</cp:lastModifiedBy>
  <cp:lastPrinted>2021-12-29T18:55:01Z</cp:lastPrinted>
  <dcterms:created xsi:type="dcterms:W3CDTF">2014-08-19T17:25:34Z</dcterms:created>
  <dcterms:modified xsi:type="dcterms:W3CDTF">2022-01-05T17:16:13Z</dcterms:modified>
</cp:coreProperties>
</file>